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ep036\OneDrive - Malta Information Technology Agency\Desktop\"/>
    </mc:Choice>
  </mc:AlternateContent>
  <bookViews>
    <workbookView xWindow="0" yWindow="0" windowWidth="22350" windowHeight="8370"/>
  </bookViews>
  <sheets>
    <sheet name="Data Entry" sheetId="1" r:id="rId1"/>
  </sheets>
  <definedNames>
    <definedName name="_xlnm.Print_Area" localSheetId="0">'Data Entry'!$A$1:$P$34</definedName>
    <definedName name="_xlnm.Print_Titles" localSheetId="0">'Data Entry'!$1:$1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G17" i="1"/>
  <c r="O15" i="1"/>
  <c r="N15" i="1"/>
  <c r="M15" i="1"/>
  <c r="L15" i="1"/>
  <c r="K15" i="1"/>
  <c r="O14" i="1"/>
  <c r="N14" i="1"/>
  <c r="M14" i="1"/>
  <c r="L14" i="1"/>
  <c r="O13" i="1"/>
  <c r="O16" i="1" s="1"/>
  <c r="N13" i="1"/>
  <c r="M13" i="1"/>
  <c r="L13" i="1"/>
  <c r="L16" i="1" s="1"/>
  <c r="O6" i="1"/>
  <c r="N6" i="1"/>
  <c r="M6" i="1"/>
  <c r="L6" i="1"/>
  <c r="O5" i="1"/>
  <c r="N5" i="1"/>
  <c r="N7" i="1" s="1"/>
  <c r="M5" i="1"/>
  <c r="M7" i="1" s="1"/>
  <c r="L5" i="1"/>
  <c r="E14" i="1"/>
  <c r="J13" i="1" s="1"/>
  <c r="E31" i="1"/>
  <c r="J14" i="1" s="1"/>
  <c r="B31" i="1"/>
  <c r="J6" i="1" s="1"/>
  <c r="E9" i="1"/>
  <c r="O7" i="1" l="1"/>
  <c r="K14" i="1"/>
  <c r="H14" i="1"/>
  <c r="L7" i="1"/>
  <c r="H6" i="1"/>
  <c r="K6" i="1"/>
  <c r="J16" i="1"/>
  <c r="H13" i="1"/>
  <c r="H16" i="1" s="1"/>
  <c r="I6" i="1"/>
  <c r="I13" i="1"/>
  <c r="I14" i="1"/>
  <c r="K13" i="1"/>
  <c r="K16" i="1" s="1"/>
  <c r="N16" i="1"/>
  <c r="M16" i="1"/>
  <c r="B6" i="1"/>
  <c r="I16" i="1" l="1"/>
  <c r="P17" i="1" s="1"/>
  <c r="B14" i="1"/>
  <c r="B13" i="1"/>
  <c r="B15" i="1" s="1"/>
  <c r="E16" i="1"/>
  <c r="J5" i="1" l="1"/>
  <c r="J7" i="1" s="1"/>
  <c r="K5" i="1"/>
  <c r="K7" i="1" s="1"/>
  <c r="I5" i="1"/>
  <c r="I7" i="1" s="1"/>
  <c r="H5" i="1"/>
  <c r="H7" i="1" s="1"/>
  <c r="P8" i="1" l="1"/>
  <c r="H21" i="1" s="1"/>
  <c r="H22" i="1" s="1"/>
  <c r="H23" i="1" s="1"/>
  <c r="H24" i="1" s="1"/>
  <c r="G3" i="1"/>
</calcChain>
</file>

<file path=xl/sharedStrings.xml><?xml version="1.0" encoding="utf-8"?>
<sst xmlns="http://schemas.openxmlformats.org/spreadsheetml/2006/main" count="68" uniqueCount="42">
  <si>
    <t>Deposit Payment</t>
  </si>
  <si>
    <t>Interest Rate</t>
  </si>
  <si>
    <t>One time processing fee on loan amount</t>
  </si>
  <si>
    <t>Other</t>
  </si>
  <si>
    <t>Deposit</t>
  </si>
  <si>
    <t>Annual Running Costs</t>
  </si>
  <si>
    <t>Total Life Cycle Cost</t>
  </si>
  <si>
    <t>Deposit Release</t>
  </si>
  <si>
    <t>Term in Years</t>
  </si>
  <si>
    <t>Total</t>
  </si>
  <si>
    <t>Year</t>
  </si>
  <si>
    <t xml:space="preserve"> </t>
  </si>
  <si>
    <r>
      <t xml:space="preserve">For further information and tips how to improve your Financial Situation, kindly visit </t>
    </r>
    <r>
      <rPr>
        <b/>
        <i/>
        <sz val="14"/>
        <color theme="1"/>
        <rFont val="Calibri"/>
        <family val="2"/>
        <scheme val="minor"/>
      </rPr>
      <t>www.gemma.gov.mt</t>
    </r>
  </si>
  <si>
    <t>Purchase of House</t>
  </si>
  <si>
    <t>Value of House</t>
  </si>
  <si>
    <t>Total House Purchase Value</t>
  </si>
  <si>
    <t>Annual House Running Costs</t>
  </si>
  <si>
    <t>Loan Amount</t>
  </si>
  <si>
    <t>One time Notary Fee</t>
  </si>
  <si>
    <t>Other One time fees</t>
  </si>
  <si>
    <t>General Maintenance</t>
  </si>
  <si>
    <t xml:space="preserve">Monthly Rent </t>
  </si>
  <si>
    <t>n/a</t>
  </si>
  <si>
    <t>Total lease fee over same house purchase period</t>
  </si>
  <si>
    <t>Total Purchase Cost</t>
  </si>
  <si>
    <t>PURCHASING VS RENTING A HOUSE CALCULATOR</t>
  </si>
  <si>
    <t>Renting of House</t>
  </si>
  <si>
    <t>Annual Rent Cost</t>
  </si>
  <si>
    <t>Annual Running Cost</t>
  </si>
  <si>
    <t>Yearly Renting payment</t>
  </si>
  <si>
    <t>Total Loan Payment including Interest</t>
  </si>
  <si>
    <t>Monthly Interest paid on Loan</t>
  </si>
  <si>
    <t>Monthly Loan Payment (Full Payment)</t>
  </si>
  <si>
    <t>Personal Items Insurance</t>
  </si>
  <si>
    <t>Difference between Purchasing and Leasing a House (as per data entered)</t>
  </si>
  <si>
    <t>Difference Overall</t>
  </si>
  <si>
    <t>Difference Per Year</t>
  </si>
  <si>
    <t>Difference Per Month</t>
  </si>
  <si>
    <t>Difference Per Day</t>
  </si>
  <si>
    <t>Life Insurance for Bank purposes</t>
  </si>
  <si>
    <t>House Insurance for structural damage</t>
  </si>
  <si>
    <t>Person Items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</si>
</sst>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€-2]\ #,##0.00;[Red]\-[$€-2]\ #,##0.00"/>
    <numFmt numFmtId="165" formatCode="[$€-2]\ #,##0;[Red]\-[$€-2]\ #,##0"/>
    <numFmt numFmtId="166" formatCode="#,##0.0"/>
    <numFmt numFmtId="167" formatCode="#,##0.0000"/>
    <numFmt numFmtId="168" formatCode="[$€-2]\ #,##0.00"/>
    <numFmt numFmtId="169" formatCode="[$€-2]\ #,##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Border="1" applyAlignment="1"/>
    <xf numFmtId="169" fontId="5" fillId="0" borderId="3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Border="1"/>
    <xf numFmtId="10" fontId="5" fillId="0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" fontId="5" fillId="0" borderId="3" xfId="0" applyNumberFormat="1" applyFont="1" applyFill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1" fillId="0" borderId="1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169" fontId="5" fillId="0" borderId="3" xfId="0" applyNumberFormat="1" applyFont="1" applyBorder="1" applyAlignment="1">
      <alignment horizontal="center"/>
    </xf>
    <xf numFmtId="0" fontId="5" fillId="0" borderId="0" xfId="0" applyFont="1" applyFill="1"/>
    <xf numFmtId="0" fontId="7" fillId="0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8" fontId="5" fillId="0" borderId="11" xfId="0" applyNumberFormat="1" applyFont="1" applyBorder="1" applyAlignment="1">
      <alignment horizontal="center"/>
    </xf>
    <xf numFmtId="168" fontId="1" fillId="0" borderId="10" xfId="0" applyNumberFormat="1" applyFont="1" applyFill="1" applyBorder="1" applyAlignment="1">
      <alignment horizontal="center"/>
    </xf>
    <xf numFmtId="10" fontId="5" fillId="0" borderId="0" xfId="1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168" fontId="5" fillId="0" borderId="3" xfId="0" applyNumberFormat="1" applyFont="1" applyFill="1" applyBorder="1" applyAlignment="1">
      <alignment horizontal="center"/>
    </xf>
    <xf numFmtId="169" fontId="1" fillId="3" borderId="11" xfId="0" applyNumberFormat="1" applyFont="1" applyFill="1" applyBorder="1" applyAlignment="1">
      <alignment horizontal="center"/>
    </xf>
    <xf numFmtId="169" fontId="5" fillId="0" borderId="0" xfId="0" applyNumberFormat="1" applyFont="1" applyBorder="1" applyAlignment="1">
      <alignment horizontal="center"/>
    </xf>
    <xf numFmtId="168" fontId="1" fillId="2" borderId="1" xfId="0" applyNumberFormat="1" applyFont="1" applyFill="1" applyBorder="1" applyAlignment="1" applyProtection="1">
      <alignment horizontal="center"/>
      <protection hidden="1"/>
    </xf>
    <xf numFmtId="168" fontId="1" fillId="2" borderId="3" xfId="0" applyNumberFormat="1" applyFont="1" applyFill="1" applyBorder="1" applyAlignment="1" applyProtection="1">
      <alignment horizontal="center"/>
      <protection hidden="1"/>
    </xf>
    <xf numFmtId="3" fontId="1" fillId="3" borderId="3" xfId="0" applyNumberFormat="1" applyFont="1" applyFill="1" applyBorder="1" applyAlignment="1" applyProtection="1">
      <alignment horizontal="center"/>
      <protection hidden="1"/>
    </xf>
    <xf numFmtId="164" fontId="1" fillId="2" borderId="2" xfId="0" applyNumberFormat="1" applyFont="1" applyFill="1" applyBorder="1" applyAlignment="1" applyProtection="1">
      <alignment horizontal="center"/>
      <protection hidden="1"/>
    </xf>
    <xf numFmtId="165" fontId="1" fillId="2" borderId="2" xfId="0" applyNumberFormat="1" applyFont="1" applyFill="1" applyBorder="1" applyAlignment="1" applyProtection="1">
      <alignment horizontal="center"/>
      <protection hidden="1"/>
    </xf>
    <xf numFmtId="169" fontId="1" fillId="2" borderId="3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65" fontId="5" fillId="0" borderId="0" xfId="0" applyNumberFormat="1" applyFont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0" fontId="5" fillId="0" borderId="0" xfId="0" applyFont="1" applyProtection="1">
      <protection hidden="1"/>
    </xf>
    <xf numFmtId="165" fontId="1" fillId="0" borderId="4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65" fontId="1" fillId="0" borderId="9" xfId="0" applyNumberFormat="1" applyFont="1" applyBorder="1" applyAlignment="1" applyProtection="1">
      <alignment horizontal="center"/>
      <protection hidden="1"/>
    </xf>
    <xf numFmtId="169" fontId="5" fillId="0" borderId="1" xfId="0" applyNumberFormat="1" applyFont="1" applyBorder="1" applyAlignment="1" applyProtection="1">
      <alignment horizontal="center"/>
      <protection hidden="1"/>
    </xf>
    <xf numFmtId="169" fontId="5" fillId="0" borderId="0" xfId="0" applyNumberFormat="1" applyFont="1" applyAlignment="1" applyProtection="1">
      <alignment horizontal="center"/>
      <protection hidden="1"/>
    </xf>
    <xf numFmtId="169" fontId="1" fillId="0" borderId="9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165" fontId="5" fillId="0" borderId="3" xfId="0" applyNumberFormat="1" applyFont="1" applyFill="1" applyBorder="1" applyAlignment="1" applyProtection="1">
      <alignment horizontal="center"/>
      <protection hidden="1"/>
    </xf>
    <xf numFmtId="164" fontId="5" fillId="0" borderId="3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/>
    <xf numFmtId="0" fontId="6" fillId="0" borderId="0" xfId="0" applyFont="1" applyProtection="1">
      <protection hidden="1"/>
    </xf>
    <xf numFmtId="0" fontId="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471411</xdr:colOff>
      <xdr:row>0</xdr:row>
      <xdr:rowOff>112259</xdr:rowOff>
    </xdr:from>
    <xdr:to>
      <xdr:col>0</xdr:col>
      <xdr:colOff>3573821</xdr:colOff>
      <xdr:row>1</xdr:row>
      <xdr:rowOff>32499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62AAE3-3670-4322-A5D6-C53135A7E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11" y="112259"/>
          <a:ext cx="3102410" cy="1076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tabSelected="1" zoomScale="70" zoomScaleNormal="70" zoomScaleSheetLayoutView="85" workbookViewId="0">
      <selection activeCell="B9" sqref="B9"/>
    </sheetView>
  </sheetViews>
  <sheetFormatPr defaultColWidth="37.5703125" defaultRowHeight="18.75" x14ac:dyDescent="0.3"/>
  <cols>
    <col min="1" max="1" width="65.140625" style="7" customWidth="1"/>
    <col min="2" max="2" width="17.42578125" style="8" bestFit="1" customWidth="1"/>
    <col min="3" max="3" width="34.7109375" style="7" customWidth="1"/>
    <col min="4" max="4" width="72.140625" style="7" customWidth="1"/>
    <col min="5" max="5" width="19.5703125" style="8" bestFit="1" customWidth="1"/>
    <col min="6" max="6" width="4.85546875" style="7" customWidth="1"/>
    <col min="7" max="7" width="26.42578125" style="7" bestFit="1" customWidth="1"/>
    <col min="8" max="35" width="21" style="7" customWidth="1"/>
    <col min="36" max="16384" width="37.5703125" style="7"/>
  </cols>
  <sheetData>
    <row r="1" spans="1:16" ht="91.5" customHeight="1" x14ac:dyDescent="0.3">
      <c r="A1" s="25"/>
      <c r="C1" s="25"/>
      <c r="D1" s="61" t="s">
        <v>25</v>
      </c>
      <c r="E1" s="61"/>
      <c r="F1" s="26"/>
    </row>
    <row r="3" spans="1:16" x14ac:dyDescent="0.3">
      <c r="A3" s="9" t="s">
        <v>13</v>
      </c>
      <c r="B3" s="6"/>
      <c r="C3" s="1"/>
      <c r="D3" s="9" t="s">
        <v>26</v>
      </c>
      <c r="E3" s="6"/>
      <c r="G3" s="43" t="str">
        <f ca="1">'Data Entry'!G3</f>
        <v>Purchase of House</v>
      </c>
      <c r="H3" s="44"/>
      <c r="I3" s="44"/>
      <c r="J3" s="44"/>
      <c r="K3" s="44"/>
      <c r="L3" s="44"/>
      <c r="M3" s="44"/>
      <c r="N3" s="44"/>
      <c r="O3" s="44"/>
      <c r="P3" s="45"/>
    </row>
    <row r="4" spans="1:16" x14ac:dyDescent="0.3">
      <c r="A4" s="10" t="s">
        <v>14</v>
      </c>
      <c r="B4" s="11">
        <v>150000</v>
      </c>
      <c r="C4" s="12"/>
      <c r="D4" s="12" t="s">
        <v>21</v>
      </c>
      <c r="E4" s="34">
        <v>950</v>
      </c>
      <c r="G4" s="43" t="s">
        <v>10</v>
      </c>
      <c r="H4" s="46">
        <v>5</v>
      </c>
      <c r="I4" s="46">
        <v>10</v>
      </c>
      <c r="J4" s="46">
        <v>15</v>
      </c>
      <c r="K4" s="46">
        <v>20</v>
      </c>
      <c r="L4" s="46">
        <v>25</v>
      </c>
      <c r="M4" s="46">
        <v>30</v>
      </c>
      <c r="N4" s="46">
        <v>35</v>
      </c>
      <c r="O4" s="46">
        <v>40</v>
      </c>
      <c r="P4" s="46" t="s">
        <v>9</v>
      </c>
    </row>
    <row r="5" spans="1:16" x14ac:dyDescent="0.3">
      <c r="A5" s="10" t="s">
        <v>0</v>
      </c>
      <c r="B5" s="11">
        <v>15000</v>
      </c>
      <c r="C5" s="12"/>
      <c r="D5" s="7" t="s">
        <v>4</v>
      </c>
      <c r="E5" s="28">
        <v>950</v>
      </c>
      <c r="G5" s="43" t="s">
        <v>24</v>
      </c>
      <c r="H5" s="47">
        <f>('Data Entry'!$B$15/'Data Entry'!$B$9)*5</f>
        <v>46976.737156630559</v>
      </c>
      <c r="I5" s="47">
        <f>('Data Entry'!$B$15/'Data Entry'!$B$9)*10</f>
        <v>93953.474313261118</v>
      </c>
      <c r="J5" s="47">
        <f>('Data Entry'!$B$15/'Data Entry'!$B$9)*15</f>
        <v>140930.21146989168</v>
      </c>
      <c r="K5" s="47">
        <f>('Data Entry'!$B$15/'Data Entry'!$B$9)*20</f>
        <v>187906.94862652224</v>
      </c>
      <c r="L5" s="47" t="str">
        <f>IF('Data Entry'!$B$9&gt;=25,(('Data Entry'!$B$15/'Data Entry'!$B$9)*25),"")</f>
        <v/>
      </c>
      <c r="M5" s="47" t="str">
        <f>IF('Data Entry'!$B$9&gt;=30,(('Data Entry'!$B$15/'Data Entry'!$B$9)*30),"")</f>
        <v/>
      </c>
      <c r="N5" s="47" t="str">
        <f>IF('Data Entry'!$B$9&gt;=35,(('Data Entry'!$B$15/'Data Entry'!$B$9)*35),"")</f>
        <v/>
      </c>
      <c r="O5" s="47" t="str">
        <f>IF('Data Entry'!$B$9&gt;=40,(('Data Entry'!$B$15/'Data Entry'!$B$9)*40),"")</f>
        <v/>
      </c>
      <c r="P5" s="44"/>
    </row>
    <row r="6" spans="1:16" x14ac:dyDescent="0.3">
      <c r="A6" s="13" t="s">
        <v>17</v>
      </c>
      <c r="B6" s="42">
        <f>B4-B5</f>
        <v>135000</v>
      </c>
      <c r="C6" s="14"/>
      <c r="D6" s="12"/>
      <c r="E6" s="29"/>
      <c r="G6" s="48" t="s">
        <v>5</v>
      </c>
      <c r="H6" s="47">
        <f>('Data Entry'!$B$31*5)</f>
        <v>10750</v>
      </c>
      <c r="I6" s="47">
        <f>('Data Entry'!$B$31*10)</f>
        <v>21500</v>
      </c>
      <c r="J6" s="47">
        <f>('Data Entry'!$B$31*15)</f>
        <v>32250</v>
      </c>
      <c r="K6" s="47">
        <f>('Data Entry'!$B$31*20)</f>
        <v>43000</v>
      </c>
      <c r="L6" s="47" t="str">
        <f>IF('Data Entry'!$B$9&gt;=25,(('Data Entry'!$B$31*25)),"")</f>
        <v/>
      </c>
      <c r="M6" s="47" t="str">
        <f>IF('Data Entry'!$B$9&gt;=30,(('Data Entry'!$B$31*30)),"")</f>
        <v/>
      </c>
      <c r="N6" s="47" t="str">
        <f>IF('Data Entry'!$B$9&gt;=35,(('Data Entry'!$B$31*35)),"")</f>
        <v/>
      </c>
      <c r="O6" s="47" t="str">
        <f>IF('Data Entry'!$B$9&gt;=40,(('Data Entry'!$B$31*40)),"")</f>
        <v/>
      </c>
      <c r="P6" s="44"/>
    </row>
    <row r="7" spans="1:16" x14ac:dyDescent="0.3">
      <c r="A7" s="13" t="s">
        <v>1</v>
      </c>
      <c r="B7" s="15">
        <v>3.5000000000000003E-2</v>
      </c>
      <c r="C7" s="14"/>
      <c r="D7" s="12"/>
      <c r="E7" s="30"/>
      <c r="G7" s="49"/>
      <c r="H7" s="50">
        <f t="shared" ref="H7:O7" si="0">SUM(H5:H6)</f>
        <v>57726.737156630559</v>
      </c>
      <c r="I7" s="50">
        <f t="shared" si="0"/>
        <v>115453.47431326112</v>
      </c>
      <c r="J7" s="50">
        <f t="shared" si="0"/>
        <v>173180.21146989168</v>
      </c>
      <c r="K7" s="50">
        <f t="shared" si="0"/>
        <v>230906.94862652224</v>
      </c>
      <c r="L7" s="50">
        <f t="shared" si="0"/>
        <v>0</v>
      </c>
      <c r="M7" s="50">
        <f t="shared" si="0"/>
        <v>0</v>
      </c>
      <c r="N7" s="50">
        <f t="shared" si="0"/>
        <v>0</v>
      </c>
      <c r="O7" s="50">
        <f t="shared" si="0"/>
        <v>0</v>
      </c>
      <c r="P7" s="44"/>
    </row>
    <row r="8" spans="1:16" ht="19.5" thickBot="1" x14ac:dyDescent="0.35">
      <c r="A8" s="16" t="s">
        <v>2</v>
      </c>
      <c r="B8" s="11">
        <v>500</v>
      </c>
      <c r="C8" s="14"/>
      <c r="D8" s="12"/>
      <c r="E8" s="31"/>
      <c r="G8" s="43" t="s">
        <v>6</v>
      </c>
      <c r="H8" s="51"/>
      <c r="I8" s="51"/>
      <c r="J8" s="51"/>
      <c r="K8" s="51"/>
      <c r="L8" s="51"/>
      <c r="M8" s="51"/>
      <c r="N8" s="44"/>
      <c r="O8" s="44"/>
      <c r="P8" s="52">
        <f>SUM(H7:N7)</f>
        <v>577267.37156630564</v>
      </c>
    </row>
    <row r="9" spans="1:16" ht="19.5" thickTop="1" x14ac:dyDescent="0.3">
      <c r="A9" s="13" t="s">
        <v>8</v>
      </c>
      <c r="B9" s="17">
        <v>20</v>
      </c>
      <c r="C9" s="14"/>
      <c r="D9" s="13" t="s">
        <v>8</v>
      </c>
      <c r="E9" s="39">
        <f>B9</f>
        <v>20</v>
      </c>
      <c r="G9" s="49"/>
      <c r="H9" s="44"/>
      <c r="I9" s="44"/>
      <c r="J9" s="44"/>
      <c r="K9" s="44"/>
      <c r="L9" s="44"/>
      <c r="M9" s="44"/>
      <c r="N9" s="44"/>
      <c r="O9" s="44"/>
      <c r="P9" s="44"/>
    </row>
    <row r="10" spans="1:16" x14ac:dyDescent="0.3">
      <c r="A10" s="16" t="s">
        <v>18</v>
      </c>
      <c r="B10" s="17">
        <v>2000</v>
      </c>
      <c r="C10" s="14"/>
      <c r="G10" s="49"/>
      <c r="H10" s="44"/>
      <c r="I10" s="44"/>
      <c r="J10" s="44"/>
      <c r="K10" s="44"/>
      <c r="L10" s="44"/>
      <c r="M10" s="44"/>
      <c r="N10" s="44"/>
      <c r="O10" s="44"/>
      <c r="P10" s="45"/>
    </row>
    <row r="11" spans="1:16" x14ac:dyDescent="0.3">
      <c r="A11" s="7" t="s">
        <v>19</v>
      </c>
      <c r="B11" s="17">
        <v>2000</v>
      </c>
      <c r="C11" s="14"/>
      <c r="D11" s="12"/>
      <c r="E11" s="32"/>
      <c r="G11" s="43" t="s">
        <v>26</v>
      </c>
      <c r="H11" s="44"/>
      <c r="I11" s="44"/>
      <c r="J11" s="44"/>
      <c r="K11" s="44"/>
      <c r="L11" s="44"/>
      <c r="M11" s="44"/>
      <c r="N11" s="44"/>
      <c r="O11" s="44"/>
      <c r="P11" s="44"/>
    </row>
    <row r="12" spans="1:16" x14ac:dyDescent="0.3">
      <c r="C12" s="14"/>
      <c r="D12" s="12"/>
      <c r="E12" s="33"/>
      <c r="G12" s="43" t="s">
        <v>10</v>
      </c>
      <c r="H12" s="46">
        <v>5</v>
      </c>
      <c r="I12" s="46">
        <v>10</v>
      </c>
      <c r="J12" s="46">
        <v>15</v>
      </c>
      <c r="K12" s="46">
        <v>20</v>
      </c>
      <c r="L12" s="46">
        <v>25</v>
      </c>
      <c r="M12" s="46">
        <v>30</v>
      </c>
      <c r="N12" s="46">
        <v>35</v>
      </c>
      <c r="O12" s="46">
        <v>40</v>
      </c>
      <c r="P12" s="46" t="s">
        <v>9</v>
      </c>
    </row>
    <row r="13" spans="1:16" x14ac:dyDescent="0.3">
      <c r="A13" s="13" t="s">
        <v>32</v>
      </c>
      <c r="B13" s="40">
        <f>PMT($B$7/12,$B$9*12,-$B$6)</f>
        <v>782.94561927717598</v>
      </c>
      <c r="G13" s="43" t="s">
        <v>27</v>
      </c>
      <c r="H13" s="47">
        <f>('Data Entry'!$E$14*5)</f>
        <v>57000</v>
      </c>
      <c r="I13" s="47">
        <f>('Data Entry'!$E$14*10)</f>
        <v>114000</v>
      </c>
      <c r="J13" s="47">
        <f>('Data Entry'!$E$14*15)</f>
        <v>171000</v>
      </c>
      <c r="K13" s="47">
        <f>('Data Entry'!$E$14*20)</f>
        <v>228000</v>
      </c>
      <c r="L13" s="47" t="str">
        <f>IF('Data Entry'!$B$9&gt;=25,(('Data Entry'!$E$14*25)),"")</f>
        <v/>
      </c>
      <c r="M13" s="47" t="str">
        <f>IF('Data Entry'!$B$9&gt;=30,(('Data Entry'!$E$14*30)),"")</f>
        <v/>
      </c>
      <c r="N13" s="47" t="str">
        <f>IF('Data Entry'!$B$9&gt;=35,(('Data Entry'!$E$14*35)),"")</f>
        <v/>
      </c>
      <c r="O13" s="47" t="str">
        <f>IF('Data Entry'!$B$9&gt;=40,(('Data Entry'!$E$14*40)),"")</f>
        <v/>
      </c>
      <c r="P13" s="44"/>
    </row>
    <row r="14" spans="1:16" x14ac:dyDescent="0.3">
      <c r="A14" s="7" t="s">
        <v>31</v>
      </c>
      <c r="B14" s="40">
        <f>IPMT($B$7/12,1,$B$9*12,-$B$6)</f>
        <v>393.75</v>
      </c>
      <c r="C14" s="14"/>
      <c r="D14" s="14" t="s">
        <v>29</v>
      </c>
      <c r="E14" s="38">
        <f>(E4*12)</f>
        <v>11400</v>
      </c>
      <c r="G14" s="43" t="s">
        <v>28</v>
      </c>
      <c r="H14" s="47">
        <f>('Data Entry'!$E$31*5)</f>
        <v>4250</v>
      </c>
      <c r="I14" s="47">
        <f>('Data Entry'!$E$31*10)</f>
        <v>8500</v>
      </c>
      <c r="J14" s="47">
        <f>('Data Entry'!$E$31*15)</f>
        <v>12750</v>
      </c>
      <c r="K14" s="47">
        <f>('Data Entry'!$E$31*20)</f>
        <v>17000</v>
      </c>
      <c r="L14" s="47" t="str">
        <f>IF('Data Entry'!$B$9&gt;=25,(('Data Entry'!$E$31*25)),"")</f>
        <v/>
      </c>
      <c r="M14" s="47" t="str">
        <f>IF('Data Entry'!$B$9&gt;=30,(('Data Entry'!$E$31*30)),"")</f>
        <v/>
      </c>
      <c r="N14" s="47" t="str">
        <f>IF('Data Entry'!$B$9&gt;=35,(('Data Entry'!$E$31*35)),"")</f>
        <v/>
      </c>
      <c r="O14" s="47" t="str">
        <f>IF('Data Entry'!$B$9&gt;=40,(('Data Entry'!$E$31*40)),"")</f>
        <v/>
      </c>
      <c r="P14" s="44"/>
    </row>
    <row r="15" spans="1:16" x14ac:dyDescent="0.3">
      <c r="A15" s="13" t="s">
        <v>30</v>
      </c>
      <c r="B15" s="41">
        <f>$B$13*$B$9*12</f>
        <v>187906.94862652224</v>
      </c>
      <c r="E15" s="18"/>
      <c r="G15" s="48" t="s">
        <v>7</v>
      </c>
      <c r="H15" s="53"/>
      <c r="I15" s="53"/>
      <c r="J15" s="53"/>
      <c r="K15" s="53" t="str">
        <f>IF('Data Entry'!$B$9=20,"-950","")</f>
        <v>-950</v>
      </c>
      <c r="L15" s="53" t="str">
        <f>IF('Data Entry'!$B$9=25,"-950","")</f>
        <v/>
      </c>
      <c r="M15" s="53" t="str">
        <f>IF('Data Entry'!$B$9=30,"-950","")</f>
        <v/>
      </c>
      <c r="N15" s="53" t="str">
        <f>IF('Data Entry'!$B$9=35,"-950","")</f>
        <v/>
      </c>
      <c r="O15" s="53" t="str">
        <f>IF('Data Entry'!$B$9&gt;=40,"-950","")</f>
        <v/>
      </c>
      <c r="P15" s="44"/>
    </row>
    <row r="16" spans="1:16" x14ac:dyDescent="0.3">
      <c r="A16" s="19" t="s">
        <v>15</v>
      </c>
      <c r="B16" s="41">
        <f>B5+B15+B8+B10+B11</f>
        <v>207406.94862652224</v>
      </c>
      <c r="D16" s="19" t="s">
        <v>23</v>
      </c>
      <c r="E16" s="37">
        <f>E14*E9</f>
        <v>228000</v>
      </c>
      <c r="G16" s="49"/>
      <c r="H16" s="54">
        <f t="shared" ref="H16:O16" si="1">SUM(H13:H15)</f>
        <v>61250</v>
      </c>
      <c r="I16" s="54">
        <f t="shared" si="1"/>
        <v>122500</v>
      </c>
      <c r="J16" s="54">
        <f t="shared" si="1"/>
        <v>183750</v>
      </c>
      <c r="K16" s="54">
        <f t="shared" si="1"/>
        <v>245000</v>
      </c>
      <c r="L16" s="54">
        <f t="shared" si="1"/>
        <v>0</v>
      </c>
      <c r="M16" s="54">
        <f t="shared" si="1"/>
        <v>0</v>
      </c>
      <c r="N16" s="54">
        <f t="shared" si="1"/>
        <v>0</v>
      </c>
      <c r="O16" s="54">
        <f t="shared" si="1"/>
        <v>0</v>
      </c>
      <c r="P16" s="44"/>
    </row>
    <row r="17" spans="1:16" ht="19.5" thickBot="1" x14ac:dyDescent="0.35">
      <c r="E17" s="7"/>
      <c r="G17" s="43" t="str">
        <f>G8</f>
        <v>Total Life Cycle Cost</v>
      </c>
      <c r="H17" s="44"/>
      <c r="I17" s="44"/>
      <c r="J17" s="44"/>
      <c r="K17" s="44"/>
      <c r="L17" s="44"/>
      <c r="M17" s="44"/>
      <c r="N17" s="44"/>
      <c r="O17" s="44"/>
      <c r="P17" s="55">
        <f>SUM(H16:O16)</f>
        <v>612500</v>
      </c>
    </row>
    <row r="18" spans="1:16" ht="19.5" thickTop="1" x14ac:dyDescent="0.3">
      <c r="A18" s="9" t="s">
        <v>16</v>
      </c>
      <c r="D18" s="9" t="s">
        <v>16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x14ac:dyDescent="0.3">
      <c r="A19" s="21" t="s">
        <v>39</v>
      </c>
      <c r="B19" s="22">
        <v>450</v>
      </c>
      <c r="D19" s="21" t="s">
        <v>39</v>
      </c>
      <c r="E19" s="22" t="s">
        <v>22</v>
      </c>
      <c r="G19" s="59" t="s">
        <v>34</v>
      </c>
      <c r="H19" s="59"/>
      <c r="I19" s="60"/>
      <c r="J19" s="49"/>
      <c r="K19" s="49"/>
      <c r="L19" s="49"/>
      <c r="M19" s="49"/>
      <c r="N19" s="49"/>
      <c r="O19" s="49"/>
      <c r="P19" s="49"/>
    </row>
    <row r="20" spans="1:16" x14ac:dyDescent="0.3">
      <c r="A20" s="21" t="s">
        <v>40</v>
      </c>
      <c r="B20" s="22">
        <v>350</v>
      </c>
      <c r="D20" s="21" t="s">
        <v>40</v>
      </c>
      <c r="E20" s="22" t="s">
        <v>22</v>
      </c>
      <c r="F20" s="23"/>
      <c r="I20" s="49"/>
      <c r="J20" s="49"/>
      <c r="K20" s="49"/>
      <c r="L20" s="49"/>
      <c r="M20" s="49"/>
      <c r="N20" s="49"/>
      <c r="O20" s="49"/>
      <c r="P20" s="49"/>
    </row>
    <row r="21" spans="1:16" x14ac:dyDescent="0.3">
      <c r="A21" s="7" t="s">
        <v>41</v>
      </c>
      <c r="B21" s="22">
        <v>100</v>
      </c>
      <c r="D21" s="7" t="s">
        <v>33</v>
      </c>
      <c r="E21" s="22">
        <v>0</v>
      </c>
      <c r="F21" s="1"/>
      <c r="G21" s="56" t="s">
        <v>35</v>
      </c>
      <c r="H21" s="57">
        <f>P8-P17</f>
        <v>-35232.628433694365</v>
      </c>
      <c r="I21" s="49"/>
      <c r="J21" s="49"/>
      <c r="K21" s="49"/>
      <c r="L21" s="49"/>
      <c r="M21" s="49"/>
      <c r="N21" s="49"/>
      <c r="O21" s="49"/>
      <c r="P21" s="49"/>
    </row>
    <row r="22" spans="1:16" x14ac:dyDescent="0.3">
      <c r="A22" s="7" t="s">
        <v>20</v>
      </c>
      <c r="B22" s="22">
        <v>500</v>
      </c>
      <c r="D22" s="7" t="s">
        <v>20</v>
      </c>
      <c r="E22" s="22">
        <v>200</v>
      </c>
      <c r="F22" s="1"/>
      <c r="G22" s="43" t="s">
        <v>36</v>
      </c>
      <c r="H22" s="58">
        <f>H21/'Data Entry'!$E$9</f>
        <v>-1761.6314216847181</v>
      </c>
      <c r="I22" s="49"/>
      <c r="J22" s="49"/>
      <c r="K22" s="49"/>
      <c r="L22" s="49"/>
      <c r="M22" s="49"/>
      <c r="N22" s="49"/>
      <c r="O22" s="49"/>
      <c r="P22" s="49"/>
    </row>
    <row r="23" spans="1:16" x14ac:dyDescent="0.3">
      <c r="A23" s="21" t="s">
        <v>3</v>
      </c>
      <c r="B23" s="22">
        <v>0</v>
      </c>
      <c r="D23" s="21" t="s">
        <v>3</v>
      </c>
      <c r="E23" s="22">
        <v>400</v>
      </c>
      <c r="F23" s="1"/>
      <c r="G23" s="43" t="s">
        <v>37</v>
      </c>
      <c r="H23" s="58">
        <f>H22/12</f>
        <v>-146.80261847372651</v>
      </c>
    </row>
    <row r="24" spans="1:16" x14ac:dyDescent="0.3">
      <c r="A24" s="21" t="s">
        <v>3</v>
      </c>
      <c r="B24" s="22">
        <v>250</v>
      </c>
      <c r="D24" s="21" t="s">
        <v>3</v>
      </c>
      <c r="E24" s="22">
        <v>250</v>
      </c>
      <c r="G24" s="43" t="s">
        <v>38</v>
      </c>
      <c r="H24" s="58">
        <f>H23/365</f>
        <v>-0.40219895472253836</v>
      </c>
    </row>
    <row r="25" spans="1:16" x14ac:dyDescent="0.3">
      <c r="A25" s="7" t="s">
        <v>3</v>
      </c>
      <c r="B25" s="22">
        <v>500</v>
      </c>
      <c r="D25" s="7" t="s">
        <v>3</v>
      </c>
      <c r="E25" s="22">
        <v>0</v>
      </c>
    </row>
    <row r="26" spans="1:16" x14ac:dyDescent="0.3">
      <c r="A26" s="7" t="s">
        <v>3</v>
      </c>
      <c r="B26" s="22">
        <v>0</v>
      </c>
      <c r="D26" s="7" t="s">
        <v>3</v>
      </c>
      <c r="E26" s="22">
        <v>0</v>
      </c>
    </row>
    <row r="27" spans="1:16" x14ac:dyDescent="0.3">
      <c r="A27" s="7" t="s">
        <v>3</v>
      </c>
      <c r="B27" s="22">
        <v>0</v>
      </c>
      <c r="D27" s="7" t="s">
        <v>3</v>
      </c>
      <c r="E27" s="22">
        <v>0</v>
      </c>
    </row>
    <row r="28" spans="1:16" x14ac:dyDescent="0.3">
      <c r="A28" s="7" t="s">
        <v>3</v>
      </c>
      <c r="B28" s="22">
        <v>0</v>
      </c>
      <c r="D28" s="7" t="s">
        <v>3</v>
      </c>
      <c r="E28" s="22">
        <v>0</v>
      </c>
    </row>
    <row r="29" spans="1:16" x14ac:dyDescent="0.3">
      <c r="A29" s="7" t="s">
        <v>3</v>
      </c>
      <c r="B29" s="22">
        <v>0</v>
      </c>
      <c r="D29" s="7" t="s">
        <v>3</v>
      </c>
      <c r="E29" s="22">
        <v>0</v>
      </c>
    </row>
    <row r="30" spans="1:16" x14ac:dyDescent="0.3">
      <c r="A30" s="7" t="s">
        <v>3</v>
      </c>
      <c r="B30" s="22">
        <v>0</v>
      </c>
      <c r="D30" s="7" t="s">
        <v>3</v>
      </c>
      <c r="E30" s="22">
        <v>0</v>
      </c>
    </row>
    <row r="31" spans="1:16" x14ac:dyDescent="0.3">
      <c r="A31" s="1" t="s">
        <v>9</v>
      </c>
      <c r="B31" s="35">
        <f>SUM(B19:B30)</f>
        <v>2150</v>
      </c>
      <c r="D31" s="1" t="s">
        <v>9</v>
      </c>
      <c r="E31" s="35">
        <f>SUM(E20:E30)</f>
        <v>850</v>
      </c>
    </row>
    <row r="32" spans="1:16" ht="18.75" customHeight="1" x14ac:dyDescent="0.3">
      <c r="A32" s="14"/>
      <c r="B32" s="36"/>
      <c r="C32" s="7" t="s">
        <v>11</v>
      </c>
      <c r="D32" s="24"/>
    </row>
    <row r="33" spans="1:16" ht="19.5" thickBot="1" x14ac:dyDescent="0.35">
      <c r="D33" s="23"/>
      <c r="E33" s="20"/>
    </row>
    <row r="34" spans="1:16" ht="24.75" customHeight="1" thickBot="1" x14ac:dyDescent="0.35">
      <c r="A34" s="62" t="s">
        <v>12</v>
      </c>
      <c r="B34" s="63"/>
      <c r="C34" s="63"/>
      <c r="D34" s="63"/>
      <c r="E34" s="64"/>
      <c r="F34" s="27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s="2" customFormat="1" ht="15.75" x14ac:dyDescent="0.25">
      <c r="B35" s="4"/>
      <c r="D35" s="3"/>
      <c r="E35" s="5"/>
    </row>
    <row r="36" spans="1:16" s="2" customFormat="1" ht="15.75" x14ac:dyDescent="0.25">
      <c r="B36" s="4"/>
      <c r="D36" s="3"/>
      <c r="E36" s="5"/>
    </row>
    <row r="37" spans="1:16" s="2" customFormat="1" x14ac:dyDescent="0.3">
      <c r="B37" s="4"/>
      <c r="D37" s="3"/>
      <c r="E37" s="5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x14ac:dyDescent="0.3">
      <c r="D38" s="23"/>
      <c r="E38" s="20"/>
    </row>
    <row r="39" spans="1:16" x14ac:dyDescent="0.3">
      <c r="D39" s="23"/>
      <c r="E39" s="20"/>
    </row>
    <row r="40" spans="1:16" x14ac:dyDescent="0.3">
      <c r="D40" s="23"/>
      <c r="E40" s="20"/>
    </row>
    <row r="41" spans="1:16" x14ac:dyDescent="0.3">
      <c r="D41" s="23"/>
      <c r="E41" s="20"/>
    </row>
    <row r="42" spans="1:16" x14ac:dyDescent="0.3">
      <c r="D42" s="23"/>
      <c r="E42" s="20"/>
    </row>
    <row r="43" spans="1:16" x14ac:dyDescent="0.3">
      <c r="D43" s="23"/>
      <c r="E43" s="20"/>
    </row>
    <row r="44" spans="1:16" x14ac:dyDescent="0.3">
      <c r="D44" s="23"/>
      <c r="E44" s="20"/>
    </row>
    <row r="45" spans="1:16" x14ac:dyDescent="0.3">
      <c r="D45" s="23"/>
      <c r="E45" s="20"/>
    </row>
    <row r="46" spans="1:16" x14ac:dyDescent="0.3">
      <c r="D46" s="23"/>
      <c r="E46" s="20"/>
    </row>
    <row r="47" spans="1:16" x14ac:dyDescent="0.3">
      <c r="D47" s="23"/>
      <c r="E47" s="20"/>
    </row>
    <row r="48" spans="1:16" x14ac:dyDescent="0.3">
      <c r="D48" s="23"/>
      <c r="E48" s="20"/>
    </row>
    <row r="49" spans="4:5" x14ac:dyDescent="0.3">
      <c r="D49" s="23"/>
      <c r="E49" s="20"/>
    </row>
    <row r="50" spans="4:5" x14ac:dyDescent="0.3">
      <c r="D50" s="23"/>
      <c r="E50" s="20"/>
    </row>
    <row r="51" spans="4:5" x14ac:dyDescent="0.3">
      <c r="D51" s="23"/>
      <c r="E51" s="20"/>
    </row>
    <row r="52" spans="4:5" x14ac:dyDescent="0.3">
      <c r="D52" s="23"/>
      <c r="E52" s="20"/>
    </row>
    <row r="53" spans="4:5" x14ac:dyDescent="0.3">
      <c r="D53" s="23"/>
      <c r="E53" s="20"/>
    </row>
    <row r="54" spans="4:5" x14ac:dyDescent="0.3">
      <c r="D54" s="23"/>
      <c r="E54" s="20"/>
    </row>
    <row r="55" spans="4:5" x14ac:dyDescent="0.3">
      <c r="D55" s="23"/>
      <c r="E55" s="20"/>
    </row>
    <row r="56" spans="4:5" x14ac:dyDescent="0.3">
      <c r="D56" s="23"/>
      <c r="E56" s="20"/>
    </row>
    <row r="57" spans="4:5" x14ac:dyDescent="0.3">
      <c r="D57" s="23"/>
      <c r="E57" s="20"/>
    </row>
    <row r="58" spans="4:5" x14ac:dyDescent="0.3">
      <c r="D58" s="23"/>
      <c r="E58" s="20"/>
    </row>
  </sheetData>
  <protectedRanges>
    <protectedRange sqref="B4 B4:B5 B7:B11 A11 E4:E5 D26:D30 A26:A30" name="Range1"/>
  </protectedRanges>
  <mergeCells count="2">
    <mergeCell ref="D1:E1"/>
    <mergeCell ref="A34:E34"/>
  </mergeCells>
  <phoneticPr fontId="3" type="noConversion"/>
  <dataValidations count="1">
    <dataValidation type="list" allowBlank="1" showInputMessage="1" showErrorMessage="1" sqref="B9">
      <formula1>"20, 25, 30, 35, 40"</formula1>
    </dataValidation>
  </dataValidations>
  <printOptions horizontalCentered="1"/>
  <pageMargins left="0.23622047244094491" right="0.23622047244094491" top="0.39370078740157483" bottom="0.51181102362204722" header="0.31496062992125984" footer="0.47244094488188981"/>
  <pageSetup paperSize="9" scale="10" fitToHeight="0" orientation="landscape" r:id="rId1"/>
  <headerFooter>
    <oddFooter>&amp;LIn collaboration with &amp; &amp;G&amp;RVersion 4.0 - 25/04/2021 - &amp;P</oddFooter>
  </headerFooter>
  <colBreaks count="1" manualBreakCount="1">
    <brk id="5" max="33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Entry</vt:lpstr>
      <vt:lpstr>'Data Entry'!Print_Area</vt:lpstr>
      <vt:lpstr>'Data Entry'!Print_Titles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sanya0912@list.ru</dc:creator>
  <cp:lastModifiedBy>Pace Pamela at MSFC-DSS</cp:lastModifiedBy>
  <cp:lastPrinted>2021-04-28T15:09:43Z</cp:lastPrinted>
  <dcterms:created xsi:type="dcterms:W3CDTF">2021-04-02T10:59:26Z</dcterms:created>
  <dcterms:modified xsi:type="dcterms:W3CDTF">2021-05-18T16:21:01Z</dcterms:modified>
</cp:coreProperties>
</file>